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60" yWindow="105" windowWidth="17235" windowHeight="9495" activeTab="0"/>
  </bookViews>
  <sheets>
    <sheet name="UEF Calculator" sheetId="1" r:id="rId1"/>
  </sheets>
  <definedNames/>
  <calcPr fullCalcOnLoad="1"/>
</workbook>
</file>

<file path=xl/comments1.xml><?xml version="1.0" encoding="utf-8"?>
<comments xmlns="http://schemas.openxmlformats.org/spreadsheetml/2006/main">
  <authors>
    <author>Duncan Wilson</author>
  </authors>
  <commentList>
    <comment ref="F4" authorId="0">
      <text>
        <r>
          <rPr>
            <sz val="9"/>
            <color indexed="53"/>
            <rFont val="Tahoma"/>
            <family val="2"/>
          </rPr>
          <t>A methane collection and destruction Unique Emissions Factor relates to the proportion of landfill gas that is collected and destroyed at the site.  This must be calculated and applied for separately. Refer to the regulations and guidance for more information.</t>
        </r>
      </text>
    </comment>
    <comment ref="F8" authorId="0">
      <text>
        <r>
          <rPr>
            <sz val="9"/>
            <color indexed="53"/>
            <rFont val="Tahoma"/>
            <family val="2"/>
          </rPr>
          <t>The carbon price used by MfE to calculate post 2013 impacts is NZ$50.00 per New Zealand Unit.
Recent (mid 2017) carbon prices have been in the order of NZ$17 per tonne</t>
        </r>
      </text>
    </comment>
    <comment ref="P3" authorId="0">
      <text>
        <r>
          <rPr>
            <sz val="9"/>
            <color indexed="53"/>
            <rFont val="Tahoma"/>
            <family val="2"/>
          </rPr>
          <t>The default composition used to calculate the DEF is provided.  If you have done a landfill SWAP analysis you can enter your unique compostion data here.
Enter only the biodegradable categories shown.  The model automatically calculates the remaining non-biodegradable fraction.</t>
        </r>
      </text>
    </comment>
    <comment ref="V3" authorId="0">
      <text>
        <r>
          <rPr>
            <sz val="9"/>
            <color indexed="53"/>
            <rFont val="Tahoma"/>
            <family val="2"/>
          </rPr>
          <t>If you want to see the impacts of undertaking diversion initiatives on your UEF and on your carbon balance you can enter data into this section.  You can enter your expected diversion either as a % or as tonnages - just press the relevant button before entering the data.</t>
        </r>
      </text>
    </comment>
    <comment ref="AD4" authorId="0">
      <text>
        <r>
          <rPr>
            <sz val="9"/>
            <color indexed="53"/>
            <rFont val="Tahoma"/>
            <family val="2"/>
          </rPr>
          <t>This is your new Unique Emissions Factor.</t>
        </r>
      </text>
    </comment>
    <comment ref="AD5" authorId="0">
      <text>
        <r>
          <rPr>
            <sz val="9"/>
            <color indexed="53"/>
            <rFont val="Tahoma"/>
            <family val="2"/>
          </rPr>
          <t>This is the tonnage of CO2-e that will be generated</t>
        </r>
      </text>
    </comment>
    <comment ref="AD7" authorId="0">
      <text>
        <r>
          <rPr>
            <sz val="9"/>
            <color indexed="53"/>
            <rFont val="Tahoma"/>
            <family val="2"/>
          </rPr>
          <t>This is the tonnage of CO2-e that will require NZU's to be purchased</t>
        </r>
      </text>
    </comment>
    <comment ref="AD9" authorId="0">
      <text>
        <r>
          <rPr>
            <sz val="9"/>
            <color indexed="53"/>
            <rFont val="Tahoma"/>
            <family val="2"/>
          </rPr>
          <t>This is the cost of your emissions obligations with your new UEF</t>
        </r>
      </text>
    </comment>
    <comment ref="AD10" authorId="0">
      <text>
        <r>
          <rPr>
            <sz val="9"/>
            <color indexed="53"/>
            <rFont val="Tahoma"/>
            <family val="2"/>
          </rPr>
          <t>This is the savings/cost you will achieve if you apply for a UEF and/or undertake diversion initiatives</t>
        </r>
      </text>
    </comment>
    <comment ref="F10" authorId="0">
      <text>
        <r>
          <rPr>
            <sz val="9"/>
            <color indexed="53"/>
            <rFont val="Tahoma"/>
            <family val="2"/>
          </rPr>
          <t>The transitional provisions which allow 1 NZU to be surrendered for 2 tonnes of CO</t>
        </r>
        <r>
          <rPr>
            <vertAlign val="subscript"/>
            <sz val="9"/>
            <color indexed="53"/>
            <rFont val="Tahoma"/>
            <family val="2"/>
          </rPr>
          <t>2</t>
        </r>
        <r>
          <rPr>
            <sz val="9"/>
            <color indexed="53"/>
            <rFont val="Tahoma"/>
            <family val="2"/>
          </rPr>
          <t xml:space="preserve"> are being phased out in line with the following schedule:
</t>
        </r>
        <r>
          <rPr>
            <b/>
            <sz val="9"/>
            <color indexed="53"/>
            <rFont val="Tahoma"/>
            <family val="2"/>
          </rPr>
          <t>2017</t>
        </r>
        <r>
          <rPr>
            <sz val="9"/>
            <color indexed="53"/>
            <rFont val="Tahoma"/>
            <family val="2"/>
          </rPr>
          <t xml:space="preserve">: 1 unit for every 1.5 whole tonnes of CO2‐e emissions
</t>
        </r>
        <r>
          <rPr>
            <b/>
            <sz val="9"/>
            <color indexed="53"/>
            <rFont val="Tahoma"/>
            <family val="2"/>
          </rPr>
          <t>2018</t>
        </r>
        <r>
          <rPr>
            <sz val="9"/>
            <color indexed="53"/>
            <rFont val="Tahoma"/>
            <family val="2"/>
          </rPr>
          <t xml:space="preserve">: 1 unit for every 1.2 whole tonnes of CO2‐e emissions
</t>
        </r>
        <r>
          <rPr>
            <b/>
            <sz val="9"/>
            <color indexed="53"/>
            <rFont val="Tahoma"/>
            <family val="2"/>
          </rPr>
          <t>2019</t>
        </r>
        <r>
          <rPr>
            <sz val="9"/>
            <color indexed="53"/>
            <rFont val="Tahoma"/>
            <family val="2"/>
          </rPr>
          <t>: 1 unit for every 1 whole tonnes of CO2‐e emissions</t>
        </r>
      </text>
    </comment>
  </commentList>
</comments>
</file>

<file path=xl/sharedStrings.xml><?xml version="1.0" encoding="utf-8"?>
<sst xmlns="http://schemas.openxmlformats.org/spreadsheetml/2006/main" count="81" uniqueCount="49">
  <si>
    <t>Tonnes to landfill</t>
  </si>
  <si>
    <t>Tonnes of CO2 -e</t>
  </si>
  <si>
    <t>Price of carbon</t>
  </si>
  <si>
    <t>Cost of emissions</t>
  </si>
  <si>
    <t>Methane collection and destruction UEF</t>
  </si>
  <si>
    <t>Tonnes of CO2 -e requiring NZU's</t>
  </si>
  <si>
    <t>Garden Waste</t>
  </si>
  <si>
    <t>Composition %</t>
  </si>
  <si>
    <t>Classification</t>
  </si>
  <si>
    <t>Nappies &amp; Sanitary</t>
  </si>
  <si>
    <t>Putrescible</t>
  </si>
  <si>
    <t>Paper Waste</t>
  </si>
  <si>
    <t>Sewage Sludge</t>
  </si>
  <si>
    <t>Timber Waste</t>
  </si>
  <si>
    <t>Textile Waste</t>
  </si>
  <si>
    <t>Other (non-biodgradable)</t>
  </si>
  <si>
    <t>Total</t>
  </si>
  <si>
    <t>UEF values</t>
  </si>
  <si>
    <t>Emissions factor</t>
  </si>
  <si>
    <t>Default</t>
  </si>
  <si>
    <t>Unique</t>
  </si>
  <si>
    <t>Tonnes</t>
  </si>
  <si>
    <t>Carbon requiring offset</t>
  </si>
  <si>
    <t>Revised UEF</t>
  </si>
  <si>
    <t>Revise Composition</t>
  </si>
  <si>
    <t>Tonnes to Landfill</t>
  </si>
  <si>
    <t>Savings/cost per tonne diverted</t>
  </si>
  <si>
    <t xml:space="preserve">Net Savings (+) /cost (-) </t>
  </si>
  <si>
    <t>Enter the carbon price you wish to base the calculations on:</t>
  </si>
  <si>
    <t>UEF Composition Calculation</t>
  </si>
  <si>
    <t>UEF Diversion Calculation</t>
  </si>
  <si>
    <t>Do you have a methane collection and destruction UEF?</t>
  </si>
  <si>
    <t xml:space="preserve">Enter Base Data </t>
  </si>
  <si>
    <t>Instructions</t>
  </si>
  <si>
    <t>Unique Emission Factor Results</t>
  </si>
  <si>
    <t>Please enter your methane collection and destruction UEF:</t>
  </si>
  <si>
    <t>Diversion (t)</t>
  </si>
  <si>
    <r>
      <rPr>
        <sz val="9"/>
        <color indexed="23"/>
        <rFont val="Verdana"/>
        <family val="2"/>
      </rPr>
      <t>©</t>
    </r>
    <r>
      <rPr>
        <sz val="9"/>
        <color indexed="23"/>
        <rFont val="Calibri"/>
        <family val="2"/>
      </rPr>
      <t xml:space="preserve"> Eunomia 2011</t>
    </r>
  </si>
  <si>
    <t>If you have questions or comments please e-mail info@eunomia-consulting.co.nz</t>
  </si>
  <si>
    <t>Welcome to Eunomia's Unique Emissions Factor (UEF) Calculator. This tool has been developed to help landfill owners  assess the potential financial impact of applying for a waste composition UEF.</t>
  </si>
  <si>
    <t>While appropriate care has been taken in the development of the model, no guarantees is provided or implied, and no responsibility is taken by Eunomia or it's employee's for any decisions taken on the basis of the model.</t>
  </si>
  <si>
    <t>Press the 'Instructions' button to begin the model.</t>
  </si>
  <si>
    <t>Enter the annual number of tonnes of all waste you currently  landfill:</t>
  </si>
  <si>
    <t>Click the buttons on the left to work your way throught the model step by step.  You can go back to any step and change data entered or check the results at any time.  Each field has default data provided (which may be zero).  You  can enter your own data in the fields as prompted or leave the default data. If you leave all the default data this will result in the default UEF being calculated.  For additonal information and instructions hover your cursor over the cells in each section that have little red comments tabs.</t>
  </si>
  <si>
    <t>Waste Composition UEF Calculator</t>
  </si>
  <si>
    <t>Include transitional provisions (1 NZU per 2 tonnes CO2 )</t>
  </si>
  <si>
    <t>Tonnes CO2 per NZU</t>
  </si>
  <si>
    <t>The calculator is based on data and formulae contained in the Climate Change (Unique Emissions
Factors) Amendment Regulations
2013, and  'A guide to landfill methane in the New Zealand Emissions Trading Scheme' published by the Ministry for the Environment in 2011.</t>
  </si>
  <si>
    <t>UEF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</si>
</sst>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 numFmtId="167" formatCode="_-* #,##0.000_-;\-* #,##0.000_-;_-* &quot;-&quot;??_-;_-@_-"/>
    <numFmt numFmtId="168" formatCode="_-* #,##0.0_-;\-* #,##0.0_-;_-* &quot;-&quot;??_-;_-@_-"/>
    <numFmt numFmtId="169" formatCode="0.00000"/>
    <numFmt numFmtId="170" formatCode="0.0000"/>
    <numFmt numFmtId="171" formatCode="0.000"/>
  </numFmts>
  <fonts count="54">
    <font>
      <sz val="11"/>
      <color theme="1"/>
      <name val="Calibri"/>
      <family val="2"/>
    </font>
    <font>
      <sz val="11"/>
      <color indexed="8"/>
      <name val="Calibri"/>
      <family val="2"/>
    </font>
    <font>
      <sz val="10"/>
      <color indexed="8"/>
      <name val="Calibri"/>
      <family val="2"/>
    </font>
    <font>
      <sz val="9"/>
      <color indexed="23"/>
      <name val="Calibri"/>
      <family val="2"/>
    </font>
    <font>
      <sz val="9"/>
      <color indexed="23"/>
      <name val="Verdana"/>
      <family val="2"/>
    </font>
    <font>
      <sz val="11"/>
      <color indexed="9"/>
      <name val="Calibri"/>
      <family val="2"/>
    </font>
    <font>
      <b/>
      <sz val="11"/>
      <color indexed="9"/>
      <name val="Calibri"/>
      <family val="2"/>
    </font>
    <font>
      <sz val="11"/>
      <color indexed="10"/>
      <name val="Calibri"/>
      <family val="2"/>
    </font>
    <font>
      <sz val="11"/>
      <name val="Calibri"/>
      <family val="2"/>
    </font>
    <font>
      <sz val="11"/>
      <color indexed="56"/>
      <name val="Calibri"/>
      <family val="2"/>
    </font>
    <font>
      <b/>
      <sz val="16"/>
      <color indexed="19"/>
      <name val="Calibri"/>
      <family val="2"/>
    </font>
    <font>
      <sz val="11"/>
      <color indexed="19"/>
      <name val="Calibri"/>
      <family val="2"/>
    </font>
    <font>
      <sz val="11"/>
      <color indexed="63"/>
      <name val="Calibri"/>
      <family val="2"/>
    </font>
    <font>
      <b/>
      <sz val="12"/>
      <color indexed="9"/>
      <name val="Calibri"/>
      <family val="2"/>
    </font>
    <font>
      <sz val="11"/>
      <color indexed="23"/>
      <name val="Calibri"/>
      <family val="2"/>
    </font>
    <font>
      <b/>
      <sz val="11"/>
      <color indexed="23"/>
      <name val="Calibri"/>
      <family val="2"/>
    </font>
    <font>
      <sz val="8"/>
      <name val="Calibri"/>
      <family val="2"/>
    </font>
    <font>
      <b/>
      <sz val="12"/>
      <color indexed="63"/>
      <name val="Calibri"/>
      <family val="2"/>
    </font>
    <font>
      <i/>
      <sz val="11"/>
      <color indexed="63"/>
      <name val="Calibri"/>
      <family val="2"/>
    </font>
    <font>
      <sz val="9"/>
      <color indexed="53"/>
      <name val="Tahoma"/>
      <family val="2"/>
    </font>
    <font>
      <b/>
      <sz val="9"/>
      <color indexed="53"/>
      <name val="Tahoma"/>
      <family val="2"/>
    </font>
    <font>
      <vertAlign val="subscript"/>
      <sz val="9"/>
      <color indexed="53"/>
      <name val="Tahoma"/>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6"/>
      <color indexed="4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8"/>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bottom/>
    </border>
    <border>
      <left style="thin"/>
      <right/>
      <top style="thin"/>
      <bottom style="thin"/>
    </border>
    <border>
      <left style="thin"/>
      <right style="thin"/>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thin">
        <color indexed="23"/>
      </left>
      <right style="thin">
        <color indexed="23"/>
      </right>
      <top style="thin">
        <color indexed="23"/>
      </top>
      <bottom style="thin">
        <color indexed="23"/>
      </bottom>
    </border>
    <border>
      <left style="thin">
        <color indexed="23"/>
      </left>
      <right/>
      <top/>
      <bottom/>
    </border>
    <border>
      <left/>
      <right style="thin">
        <color indexed="23"/>
      </right>
      <top/>
      <bottom/>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
      <left style="thin">
        <color indexed="23"/>
      </left>
      <right style="thin">
        <color indexed="23"/>
      </right>
      <top style="thin">
        <color indexed="23"/>
      </top>
      <bottom/>
    </border>
    <border>
      <left style="thin">
        <color indexed="23"/>
      </left>
      <right style="thin">
        <color indexed="23"/>
      </right>
      <top/>
      <bottom/>
    </border>
    <border>
      <left style="thin">
        <color indexed="23"/>
      </left>
      <right/>
      <top style="thin">
        <color indexed="23"/>
      </top>
      <bottom style="thin">
        <color indexed="2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5">
    <xf numFmtId="0" fontId="0" fillId="0" borderId="0" xfId="0" applyFont="1" applyAlignment="1">
      <alignment/>
    </xf>
    <xf numFmtId="43" fontId="36" fillId="16" borderId="10" xfId="29" applyNumberFormat="1" applyBorder="1" applyAlignment="1">
      <alignment/>
    </xf>
    <xf numFmtId="43" fontId="36" fillId="16" borderId="11" xfId="29" applyNumberFormat="1" applyBorder="1" applyAlignment="1">
      <alignment/>
    </xf>
    <xf numFmtId="164" fontId="36" fillId="16" borderId="11" xfId="29" applyNumberFormat="1" applyBorder="1" applyAlignment="1">
      <alignment/>
    </xf>
    <xf numFmtId="164" fontId="36" fillId="16" borderId="10" xfId="29" applyNumberFormat="1" applyBorder="1" applyAlignment="1">
      <alignment/>
    </xf>
    <xf numFmtId="0" fontId="36" fillId="22" borderId="12" xfId="35" applyBorder="1" applyAlignment="1">
      <alignment/>
    </xf>
    <xf numFmtId="0" fontId="36" fillId="22" borderId="13" xfId="35" applyBorder="1" applyAlignment="1">
      <alignment/>
    </xf>
    <xf numFmtId="0" fontId="36" fillId="22" borderId="14" xfId="35" applyBorder="1" applyAlignment="1">
      <alignment/>
    </xf>
    <xf numFmtId="0" fontId="36" fillId="22" borderId="15" xfId="35" applyBorder="1" applyAlignment="1">
      <alignment/>
    </xf>
    <xf numFmtId="0" fontId="36" fillId="22" borderId="16" xfId="35" applyBorder="1" applyAlignment="1">
      <alignment/>
    </xf>
    <xf numFmtId="0" fontId="36" fillId="22" borderId="17" xfId="35" applyBorder="1" applyAlignment="1">
      <alignment/>
    </xf>
    <xf numFmtId="164" fontId="36" fillId="16" borderId="18" xfId="29" applyNumberFormat="1" applyBorder="1" applyAlignment="1">
      <alignment/>
    </xf>
    <xf numFmtId="44" fontId="36" fillId="16" borderId="19" xfId="29" applyNumberFormat="1" applyBorder="1" applyAlignment="1">
      <alignment/>
    </xf>
    <xf numFmtId="164" fontId="1" fillId="0" borderId="13" xfId="42" applyNumberFormat="1" applyFont="1" applyBorder="1" applyAlignment="1" applyProtection="1">
      <alignment/>
      <protection locked="0"/>
    </xf>
    <xf numFmtId="43" fontId="8" fillId="33" borderId="13" xfId="29" applyNumberFormat="1" applyFont="1" applyFill="1" applyBorder="1" applyAlignment="1" applyProtection="1">
      <alignment/>
      <protection locked="0"/>
    </xf>
    <xf numFmtId="0" fontId="9" fillId="0" borderId="0" xfId="0" applyFont="1" applyAlignment="1">
      <alignment/>
    </xf>
    <xf numFmtId="0" fontId="10" fillId="0" borderId="0" xfId="0" applyFont="1" applyAlignment="1">
      <alignment horizontal="center"/>
    </xf>
    <xf numFmtId="0" fontId="11" fillId="0" borderId="0" xfId="0" applyFont="1" applyAlignment="1">
      <alignment/>
    </xf>
    <xf numFmtId="0" fontId="12" fillId="0" borderId="0" xfId="0" applyFont="1" applyAlignment="1">
      <alignment/>
    </xf>
    <xf numFmtId="0" fontId="5" fillId="0" borderId="0" xfId="0" applyFont="1" applyAlignment="1">
      <alignment/>
    </xf>
    <xf numFmtId="0" fontId="5" fillId="0" borderId="0" xfId="0" applyFont="1" applyBorder="1" applyAlignment="1">
      <alignment/>
    </xf>
    <xf numFmtId="0" fontId="12" fillId="0" borderId="0" xfId="0" applyFont="1" applyBorder="1" applyAlignment="1">
      <alignment/>
    </xf>
    <xf numFmtId="9" fontId="12" fillId="0" borderId="0" xfId="57" applyFont="1" applyAlignment="1">
      <alignment/>
    </xf>
    <xf numFmtId="0" fontId="12" fillId="34" borderId="0" xfId="0" applyFont="1" applyFill="1" applyAlignment="1">
      <alignment/>
    </xf>
    <xf numFmtId="2" fontId="12" fillId="34" borderId="0" xfId="0" applyNumberFormat="1" applyFont="1" applyFill="1" applyAlignment="1">
      <alignment/>
    </xf>
    <xf numFmtId="164" fontId="12" fillId="34" borderId="0" xfId="0" applyNumberFormat="1" applyFont="1" applyFill="1" applyAlignment="1">
      <alignment/>
    </xf>
    <xf numFmtId="43" fontId="12" fillId="34" borderId="0" xfId="0" applyNumberFormat="1" applyFont="1" applyFill="1" applyAlignment="1">
      <alignment/>
    </xf>
    <xf numFmtId="9" fontId="12" fillId="34" borderId="0" xfId="57" applyFont="1" applyFill="1" applyAlignment="1">
      <alignment/>
    </xf>
    <xf numFmtId="43" fontId="8" fillId="33" borderId="14" xfId="29" applyNumberFormat="1" applyFont="1" applyFill="1" applyBorder="1" applyAlignment="1" applyProtection="1">
      <alignment/>
      <protection locked="0"/>
    </xf>
    <xf numFmtId="0" fontId="14" fillId="22" borderId="20" xfId="35" applyFont="1" applyBorder="1" applyAlignment="1">
      <alignment/>
    </xf>
    <xf numFmtId="44" fontId="8" fillId="33" borderId="13" xfId="44" applyFont="1" applyFill="1" applyBorder="1" applyAlignment="1" applyProtection="1">
      <alignment/>
      <protection locked="0"/>
    </xf>
    <xf numFmtId="164" fontId="12" fillId="0" borderId="20" xfId="42" applyNumberFormat="1" applyFont="1" applyBorder="1" applyAlignment="1" applyProtection="1">
      <alignment/>
      <protection locked="0"/>
    </xf>
    <xf numFmtId="44" fontId="12" fillId="0" borderId="20" xfId="44" applyFont="1" applyBorder="1" applyAlignment="1" applyProtection="1">
      <alignment/>
      <protection locked="0"/>
    </xf>
    <xf numFmtId="9" fontId="12" fillId="0" borderId="21" xfId="57" applyFont="1" applyBorder="1" applyAlignment="1" applyProtection="1">
      <alignment/>
      <protection locked="0"/>
    </xf>
    <xf numFmtId="164" fontId="12" fillId="35" borderId="21" xfId="42" applyNumberFormat="1" applyFont="1" applyFill="1" applyBorder="1" applyAlignment="1" applyProtection="1">
      <alignment/>
      <protection locked="0"/>
    </xf>
    <xf numFmtId="9" fontId="12" fillId="0" borderId="22" xfId="57" applyFont="1" applyBorder="1" applyAlignment="1" applyProtection="1">
      <alignment/>
      <protection locked="0"/>
    </xf>
    <xf numFmtId="164" fontId="12" fillId="35" borderId="22" xfId="42" applyNumberFormat="1" applyFont="1" applyFill="1" applyBorder="1" applyAlignment="1" applyProtection="1">
      <alignment/>
      <protection locked="0"/>
    </xf>
    <xf numFmtId="9" fontId="12" fillId="0" borderId="23" xfId="57" applyFont="1" applyBorder="1" applyAlignment="1" applyProtection="1">
      <alignment/>
      <protection locked="0"/>
    </xf>
    <xf numFmtId="164" fontId="12" fillId="35" borderId="23" xfId="42" applyNumberFormat="1" applyFont="1" applyFill="1" applyBorder="1" applyAlignment="1" applyProtection="1">
      <alignment/>
      <protection locked="0"/>
    </xf>
    <xf numFmtId="164" fontId="12" fillId="0" borderId="21" xfId="42" applyNumberFormat="1" applyFont="1" applyBorder="1" applyAlignment="1" applyProtection="1">
      <alignment/>
      <protection locked="0"/>
    </xf>
    <xf numFmtId="164" fontId="12" fillId="0" borderId="22" xfId="42" applyNumberFormat="1" applyFont="1" applyBorder="1" applyAlignment="1" applyProtection="1">
      <alignment/>
      <protection locked="0"/>
    </xf>
    <xf numFmtId="164" fontId="12" fillId="0" borderId="23" xfId="42" applyNumberFormat="1" applyFont="1" applyBorder="1" applyAlignment="1" applyProtection="1">
      <alignment/>
      <protection locked="0"/>
    </xf>
    <xf numFmtId="165" fontId="12" fillId="35" borderId="21" xfId="57" applyNumberFormat="1" applyFont="1" applyFill="1" applyBorder="1" applyAlignment="1" applyProtection="1">
      <alignment/>
      <protection locked="0"/>
    </xf>
    <xf numFmtId="165" fontId="12" fillId="35" borderId="22" xfId="57" applyNumberFormat="1" applyFont="1" applyFill="1" applyBorder="1" applyAlignment="1" applyProtection="1">
      <alignment/>
      <protection locked="0"/>
    </xf>
    <xf numFmtId="165" fontId="12" fillId="35" borderId="23" xfId="57" applyNumberFormat="1" applyFont="1" applyFill="1" applyBorder="1" applyAlignment="1" applyProtection="1">
      <alignment/>
      <protection locked="0"/>
    </xf>
    <xf numFmtId="165" fontId="12" fillId="0" borderId="21" xfId="57" applyNumberFormat="1" applyFont="1" applyBorder="1" applyAlignment="1" applyProtection="1">
      <alignment/>
      <protection locked="0"/>
    </xf>
    <xf numFmtId="165" fontId="12" fillId="0" borderId="22" xfId="57" applyNumberFormat="1" applyFont="1" applyBorder="1" applyAlignment="1" applyProtection="1">
      <alignment/>
      <protection locked="0"/>
    </xf>
    <xf numFmtId="165" fontId="12" fillId="0" borderId="23" xfId="57" applyNumberFormat="1" applyFont="1" applyBorder="1" applyAlignment="1" applyProtection="1">
      <alignment/>
      <protection locked="0"/>
    </xf>
    <xf numFmtId="0" fontId="15" fillId="0" borderId="0" xfId="0" applyFont="1" applyAlignment="1">
      <alignment/>
    </xf>
    <xf numFmtId="0" fontId="36" fillId="36" borderId="24" xfId="35" applyFill="1" applyBorder="1" applyAlignment="1">
      <alignment/>
    </xf>
    <xf numFmtId="0" fontId="6" fillId="36" borderId="24" xfId="35" applyFont="1" applyFill="1" applyBorder="1" applyAlignment="1">
      <alignment horizontal="center" vertical="center"/>
    </xf>
    <xf numFmtId="0" fontId="13" fillId="36" borderId="25" xfId="35" applyFont="1" applyFill="1" applyBorder="1" applyAlignment="1">
      <alignment/>
    </xf>
    <xf numFmtId="166" fontId="13" fillId="36" borderId="0" xfId="35" applyNumberFormat="1" applyFont="1" applyFill="1" applyBorder="1" applyAlignment="1">
      <alignment/>
    </xf>
    <xf numFmtId="166" fontId="13" fillId="36" borderId="26" xfId="35" applyNumberFormat="1" applyFont="1" applyFill="1" applyBorder="1" applyAlignment="1">
      <alignment/>
    </xf>
    <xf numFmtId="0" fontId="13" fillId="36" borderId="27" xfId="35" applyFont="1" applyFill="1" applyBorder="1" applyAlignment="1">
      <alignment/>
    </xf>
    <xf numFmtId="166" fontId="13" fillId="36" borderId="28" xfId="35" applyNumberFormat="1" applyFont="1" applyFill="1" applyBorder="1" applyAlignment="1">
      <alignment/>
    </xf>
    <xf numFmtId="44" fontId="13" fillId="36" borderId="29" xfId="44" applyFont="1" applyFill="1" applyBorder="1" applyAlignment="1">
      <alignment horizontal="right"/>
    </xf>
    <xf numFmtId="164" fontId="12" fillId="35" borderId="30" xfId="29" applyNumberFormat="1" applyFont="1" applyFill="1" applyBorder="1" applyAlignment="1">
      <alignment/>
    </xf>
    <xf numFmtId="43" fontId="12" fillId="35" borderId="31" xfId="29" applyNumberFormat="1" applyFont="1" applyFill="1" applyBorder="1" applyAlignment="1">
      <alignment/>
    </xf>
    <xf numFmtId="164" fontId="12" fillId="35" borderId="31" xfId="29" applyNumberFormat="1" applyFont="1" applyFill="1" applyBorder="1" applyAlignment="1">
      <alignment/>
    </xf>
    <xf numFmtId="44" fontId="12" fillId="35" borderId="31" xfId="29" applyNumberFormat="1" applyFont="1" applyFill="1" applyBorder="1" applyAlignment="1">
      <alignment/>
    </xf>
    <xf numFmtId="166" fontId="17" fillId="35" borderId="24" xfId="35" applyNumberFormat="1" applyFont="1" applyFill="1" applyBorder="1" applyAlignment="1">
      <alignment/>
    </xf>
    <xf numFmtId="0" fontId="6" fillId="36" borderId="20" xfId="0" applyFont="1" applyFill="1" applyBorder="1" applyAlignment="1">
      <alignment/>
    </xf>
    <xf numFmtId="0" fontId="5" fillId="36" borderId="22" xfId="0" applyFont="1" applyFill="1" applyBorder="1" applyAlignment="1">
      <alignment/>
    </xf>
    <xf numFmtId="0" fontId="12" fillId="35" borderId="22" xfId="0" applyFont="1" applyFill="1" applyBorder="1" applyAlignment="1">
      <alignment/>
    </xf>
    <xf numFmtId="165" fontId="5" fillId="36" borderId="20" xfId="57" applyNumberFormat="1" applyFont="1" applyFill="1" applyBorder="1" applyAlignment="1">
      <alignment/>
    </xf>
    <xf numFmtId="165" fontId="6" fillId="36" borderId="20" xfId="57" applyNumberFormat="1" applyFont="1" applyFill="1" applyBorder="1" applyAlignment="1">
      <alignment/>
    </xf>
    <xf numFmtId="164" fontId="6" fillId="36" borderId="20" xfId="42" applyNumberFormat="1" applyFont="1" applyFill="1" applyBorder="1" applyAlignment="1">
      <alignment/>
    </xf>
    <xf numFmtId="0" fontId="12" fillId="35" borderId="25" xfId="35" applyFont="1" applyFill="1" applyBorder="1" applyAlignment="1">
      <alignment/>
    </xf>
    <xf numFmtId="0" fontId="17" fillId="35" borderId="32" xfId="35" applyFont="1" applyFill="1" applyBorder="1" applyAlignment="1">
      <alignment/>
    </xf>
    <xf numFmtId="0" fontId="5" fillId="0" borderId="0" xfId="0" applyFont="1" applyBorder="1" applyAlignment="1" applyProtection="1">
      <alignment/>
      <protection/>
    </xf>
    <xf numFmtId="0" fontId="18" fillId="0" borderId="0" xfId="0" applyFont="1" applyAlignment="1">
      <alignment/>
    </xf>
    <xf numFmtId="164" fontId="18" fillId="0" borderId="20" xfId="42" applyNumberFormat="1" applyFont="1" applyBorder="1" applyAlignment="1" applyProtection="1">
      <alignment/>
      <protection locked="0"/>
    </xf>
    <xf numFmtId="0" fontId="12" fillId="0" borderId="0" xfId="0" applyFont="1" applyBorder="1" applyAlignment="1" applyProtection="1">
      <alignment/>
      <protection locked="0"/>
    </xf>
    <xf numFmtId="0" fontId="12" fillId="0" borderId="0" xfId="0" applyFont="1" applyBorder="1" applyAlignment="1" applyProtection="1">
      <alignment/>
      <protection/>
    </xf>
    <xf numFmtId="43" fontId="12" fillId="0" borderId="20" xfId="42" applyNumberFormat="1" applyFont="1" applyBorder="1" applyAlignment="1" applyProtection="1">
      <alignment/>
      <protection locked="0"/>
    </xf>
    <xf numFmtId="0" fontId="52" fillId="0" borderId="0" xfId="0" applyFont="1" applyAlignment="1">
      <alignment horizontal="center"/>
    </xf>
    <xf numFmtId="0" fontId="3" fillId="0" borderId="0" xfId="0" applyFont="1" applyAlignment="1">
      <alignment horizontal="center"/>
    </xf>
    <xf numFmtId="0" fontId="9" fillId="0" borderId="0" xfId="0" applyFont="1" applyAlignment="1">
      <alignment horizontal="center" vertical="center"/>
    </xf>
    <xf numFmtId="0" fontId="14" fillId="0" borderId="0" xfId="0" applyFont="1" applyAlignment="1">
      <alignment horizontal="center" wrapText="1"/>
    </xf>
    <xf numFmtId="0" fontId="12" fillId="0" borderId="0" xfId="0" applyFont="1" applyAlignment="1">
      <alignment horizontal="center" wrapText="1"/>
    </xf>
    <xf numFmtId="0" fontId="12" fillId="0" borderId="0" xfId="0" applyFont="1" applyAlignment="1">
      <alignment horizontal="center" vertical="center" wrapText="1"/>
    </xf>
    <xf numFmtId="0" fontId="52" fillId="0" borderId="0" xfId="0" applyFont="1" applyAlignment="1">
      <alignment horizontal="center"/>
    </xf>
    <xf numFmtId="0" fontId="7" fillId="0" borderId="0" xfId="0" applyFont="1" applyAlignment="1">
      <alignment horizontal="center" wrapText="1"/>
    </xf>
    <xf numFmtId="0" fontId="52" fillId="0" borderId="28"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2</xdr:col>
      <xdr:colOff>47625</xdr:colOff>
      <xdr:row>17</xdr:row>
      <xdr:rowOff>152400</xdr:rowOff>
    </xdr:to>
    <xdr:pic>
      <xdr:nvPicPr>
        <xdr:cNvPr id="1" name="Picture 15"/>
        <xdr:cNvPicPr preferRelativeResize="1">
          <a:picLocks noChangeAspect="1"/>
        </xdr:cNvPicPr>
      </xdr:nvPicPr>
      <xdr:blipFill>
        <a:blip r:embed="rId1"/>
        <a:stretch>
          <a:fillRect/>
        </a:stretch>
      </xdr:blipFill>
      <xdr:spPr>
        <a:xfrm>
          <a:off x="57150" y="3467100"/>
          <a:ext cx="13335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AI39"/>
  <sheetViews>
    <sheetView showGridLines="0" showRowColHeaders="0" tabSelected="1" zoomScalePageLayoutView="0" workbookViewId="0" topLeftCell="A1">
      <selection activeCell="C1" sqref="C1"/>
    </sheetView>
  </sheetViews>
  <sheetFormatPr defaultColWidth="9.140625" defaultRowHeight="15"/>
  <cols>
    <col min="1" max="1" width="9.140625" style="15" customWidth="1"/>
    <col min="2" max="2" width="11.00390625" style="15" customWidth="1"/>
    <col min="3" max="3" width="4.7109375" style="15" customWidth="1"/>
    <col min="4" max="4" width="47.421875" style="15" customWidth="1"/>
    <col min="5" max="5" width="42.7109375" style="15" hidden="1" customWidth="1"/>
    <col min="6" max="6" width="62.140625" style="15" hidden="1" customWidth="1"/>
    <col min="7" max="7" width="2.421875" style="15" hidden="1" customWidth="1"/>
    <col min="8" max="8" width="12.8515625" style="15" hidden="1" customWidth="1"/>
    <col min="9" max="10" width="2.421875" style="15" hidden="1" customWidth="1"/>
    <col min="11" max="13" width="12.421875" style="15" hidden="1" customWidth="1"/>
    <col min="14" max="14" width="2.421875" style="15" hidden="1" customWidth="1"/>
    <col min="15" max="15" width="26.8515625" style="15" hidden="1" customWidth="1"/>
    <col min="16" max="16" width="14.140625" style="15" hidden="1" customWidth="1"/>
    <col min="17" max="19" width="9.140625" style="15" hidden="1" customWidth="1"/>
    <col min="20" max="20" width="24.28125" style="15" hidden="1" customWidth="1"/>
    <col min="21" max="21" width="11.8515625" style="15" hidden="1" customWidth="1"/>
    <col min="22" max="22" width="12.7109375" style="15" hidden="1" customWidth="1"/>
    <col min="23" max="23" width="9.140625" style="15" hidden="1" customWidth="1"/>
    <col min="24" max="24" width="11.421875" style="15" hidden="1" customWidth="1"/>
    <col min="25" max="27" width="9.140625" style="15" hidden="1" customWidth="1"/>
    <col min="28" max="28" width="37.00390625" style="15" hidden="1" customWidth="1"/>
    <col min="29" max="29" width="14.7109375" style="15" hidden="1" customWidth="1"/>
    <col min="30" max="30" width="14.8515625" style="15" hidden="1" customWidth="1"/>
    <col min="31" max="35" width="9.140625" style="15" hidden="1" customWidth="1"/>
    <col min="36" max="16384" width="9.140625" style="15" customWidth="1"/>
  </cols>
  <sheetData>
    <row r="1" spans="2:30" s="17" customFormat="1" ht="39.75" customHeight="1" thickBot="1">
      <c r="B1" s="16"/>
      <c r="C1" s="16"/>
      <c r="D1" s="76" t="s">
        <v>44</v>
      </c>
      <c r="E1" s="76" t="s">
        <v>33</v>
      </c>
      <c r="F1" s="82" t="s">
        <v>32</v>
      </c>
      <c r="G1" s="82"/>
      <c r="H1" s="82"/>
      <c r="O1" s="82" t="s">
        <v>29</v>
      </c>
      <c r="P1" s="82"/>
      <c r="T1" s="82" t="s">
        <v>30</v>
      </c>
      <c r="U1" s="82"/>
      <c r="V1" s="82"/>
      <c r="AB1" s="84" t="s">
        <v>34</v>
      </c>
      <c r="AC1" s="84"/>
      <c r="AD1" s="84"/>
    </row>
    <row r="2" spans="4:30" s="18" customFormat="1" ht="15.75" thickBot="1">
      <c r="D2" s="80" t="s">
        <v>39</v>
      </c>
      <c r="E2" s="81" t="s">
        <v>43</v>
      </c>
      <c r="F2" s="18" t="s">
        <v>42</v>
      </c>
      <c r="H2" s="31">
        <v>10000</v>
      </c>
      <c r="K2" s="5"/>
      <c r="L2" s="6" t="s">
        <v>19</v>
      </c>
      <c r="M2" s="7" t="s">
        <v>20</v>
      </c>
      <c r="Q2" s="23"/>
      <c r="R2" s="23"/>
      <c r="S2" s="23"/>
      <c r="W2" s="23"/>
      <c r="X2" s="23"/>
      <c r="Y2" s="23"/>
      <c r="Z2" s="23"/>
      <c r="AB2" s="49"/>
      <c r="AC2" s="50" t="s">
        <v>19</v>
      </c>
      <c r="AD2" s="50" t="s">
        <v>20</v>
      </c>
    </row>
    <row r="3" spans="4:30" s="18" customFormat="1" ht="15.75" thickBot="1">
      <c r="D3" s="80"/>
      <c r="E3" s="81"/>
      <c r="K3" s="9" t="s">
        <v>0</v>
      </c>
      <c r="L3" s="13">
        <f>H2</f>
        <v>10000</v>
      </c>
      <c r="M3" s="11">
        <f>W12</f>
        <v>10000</v>
      </c>
      <c r="O3" s="62" t="s">
        <v>8</v>
      </c>
      <c r="P3" s="62" t="s">
        <v>7</v>
      </c>
      <c r="Q3" s="23" t="s">
        <v>17</v>
      </c>
      <c r="R3" s="23" t="s">
        <v>48</v>
      </c>
      <c r="S3" s="23" t="s">
        <v>21</v>
      </c>
      <c r="T3" s="62" t="s">
        <v>8</v>
      </c>
      <c r="U3" s="62"/>
      <c r="V3" s="62" t="s">
        <v>36</v>
      </c>
      <c r="W3" s="23" t="s">
        <v>25</v>
      </c>
      <c r="X3" s="23" t="s">
        <v>22</v>
      </c>
      <c r="Y3" s="23" t="s">
        <v>24</v>
      </c>
      <c r="Z3" s="23" t="s">
        <v>23</v>
      </c>
      <c r="AB3" s="68" t="s">
        <v>0</v>
      </c>
      <c r="AC3" s="57">
        <f>L3</f>
        <v>10000</v>
      </c>
      <c r="AD3" s="57">
        <f>W12</f>
        <v>10000</v>
      </c>
    </row>
    <row r="4" spans="4:35" s="18" customFormat="1" ht="15">
      <c r="D4" s="80"/>
      <c r="E4" s="81"/>
      <c r="F4" s="18" t="s">
        <v>31</v>
      </c>
      <c r="G4" s="19">
        <v>1</v>
      </c>
      <c r="K4" s="8" t="s">
        <v>18</v>
      </c>
      <c r="L4" s="2">
        <v>1.19</v>
      </c>
      <c r="M4" s="1">
        <f>ROUND(Q33,2)</f>
        <v>1.5</v>
      </c>
      <c r="O4" s="64" t="s">
        <v>6</v>
      </c>
      <c r="P4" s="45">
        <v>0.092</v>
      </c>
      <c r="Q4" s="24">
        <v>1.362595419847328</v>
      </c>
      <c r="R4" s="24">
        <f>Q4*P4</f>
        <v>0.12535877862595418</v>
      </c>
      <c r="S4" s="25">
        <f>$L$3*P4</f>
        <v>920</v>
      </c>
      <c r="T4" s="64" t="s">
        <v>6</v>
      </c>
      <c r="U4" s="42"/>
      <c r="V4" s="39"/>
      <c r="W4" s="25">
        <f>S4-V4</f>
        <v>920</v>
      </c>
      <c r="X4" s="26">
        <f>W4*Q4</f>
        <v>1253.5877862595419</v>
      </c>
      <c r="Y4" s="27">
        <f>W4/$W$12</f>
        <v>0.092</v>
      </c>
      <c r="Z4" s="24">
        <f>Y4*Q4</f>
        <v>0.12535877862595418</v>
      </c>
      <c r="AB4" s="68" t="s">
        <v>18</v>
      </c>
      <c r="AC4" s="58">
        <f>L4</f>
        <v>1.19</v>
      </c>
      <c r="AD4" s="58">
        <f>ROUND($Z$12,2)</f>
        <v>1.19</v>
      </c>
      <c r="AF4" s="42">
        <f>AG4/AD4</f>
        <v>0</v>
      </c>
      <c r="AG4" s="39"/>
      <c r="AH4" s="33"/>
      <c r="AI4" s="34">
        <f>AH4*AF4</f>
        <v>0</v>
      </c>
    </row>
    <row r="5" spans="4:35" s="18" customFormat="1" ht="15.75" thickBot="1">
      <c r="D5" s="80"/>
      <c r="E5" s="81"/>
      <c r="F5" s="70"/>
      <c r="G5" s="70"/>
      <c r="H5" s="70"/>
      <c r="K5" s="8" t="s">
        <v>1</v>
      </c>
      <c r="L5" s="3">
        <f>L3*L4</f>
        <v>11900</v>
      </c>
      <c r="M5" s="4">
        <f>M3*M4</f>
        <v>15000</v>
      </c>
      <c r="O5" s="64" t="s">
        <v>9</v>
      </c>
      <c r="P5" s="46">
        <v>0.027</v>
      </c>
      <c r="Q5" s="24">
        <v>1.6351145038167938</v>
      </c>
      <c r="R5" s="24">
        <f>Q5*P5</f>
        <v>0.044148091603053434</v>
      </c>
      <c r="S5" s="25">
        <f aca="true" t="shared" si="0" ref="S5:S11">$L$3*P5</f>
        <v>270</v>
      </c>
      <c r="T5" s="64" t="s">
        <v>9</v>
      </c>
      <c r="U5" s="43"/>
      <c r="V5" s="40"/>
      <c r="W5" s="25">
        <f aca="true" t="shared" si="1" ref="W5:W11">S5-V5</f>
        <v>270</v>
      </c>
      <c r="X5" s="26">
        <f>W5*Q5</f>
        <v>441.48091603053433</v>
      </c>
      <c r="Y5" s="27">
        <f aca="true" t="shared" si="2" ref="Y5:Y11">W5/$W$12</f>
        <v>0.027</v>
      </c>
      <c r="Z5" s="24">
        <f>Y5*Q5</f>
        <v>0.044148091603053434</v>
      </c>
      <c r="AB5" s="68" t="s">
        <v>1</v>
      </c>
      <c r="AC5" s="59">
        <f>AC3*AC4</f>
        <v>11900</v>
      </c>
      <c r="AD5" s="59">
        <f>IF(AD4&gt;AC4,AD3*AC4,AD3*AD4)</f>
        <v>11900</v>
      </c>
      <c r="AF5" s="43">
        <f aca="true" t="shared" si="3" ref="AF5:AF10">AG5/AD5</f>
        <v>0</v>
      </c>
      <c r="AG5" s="40"/>
      <c r="AH5" s="35"/>
      <c r="AI5" s="36">
        <f aca="true" t="shared" si="4" ref="AI5:AI10">AH5*AF5</f>
        <v>0</v>
      </c>
    </row>
    <row r="6" spans="4:35" s="18" customFormat="1" ht="15" customHeight="1" thickBot="1">
      <c r="D6" s="80" t="s">
        <v>47</v>
      </c>
      <c r="E6" s="81"/>
      <c r="F6" s="73" t="s">
        <v>35</v>
      </c>
      <c r="G6" s="74"/>
      <c r="H6" s="75">
        <v>0</v>
      </c>
      <c r="I6" s="20"/>
      <c r="J6" s="20"/>
      <c r="K6" s="29" t="s">
        <v>4</v>
      </c>
      <c r="L6" s="28">
        <f>H6</f>
        <v>0</v>
      </c>
      <c r="M6" s="1">
        <f>L6</f>
        <v>0</v>
      </c>
      <c r="O6" s="64" t="s">
        <v>10</v>
      </c>
      <c r="P6" s="46">
        <v>0.123</v>
      </c>
      <c r="Q6" s="24">
        <v>1.021946564885496</v>
      </c>
      <c r="R6" s="24">
        <f>Q6*P6</f>
        <v>0.125699427480916</v>
      </c>
      <c r="S6" s="25">
        <f t="shared" si="0"/>
        <v>1230</v>
      </c>
      <c r="T6" s="64" t="s">
        <v>10</v>
      </c>
      <c r="U6" s="43"/>
      <c r="V6" s="40"/>
      <c r="W6" s="25">
        <f t="shared" si="1"/>
        <v>1230</v>
      </c>
      <c r="X6" s="26">
        <f>W6*Q6</f>
        <v>1256.99427480916</v>
      </c>
      <c r="Y6" s="27">
        <f t="shared" si="2"/>
        <v>0.123</v>
      </c>
      <c r="Z6" s="24">
        <f>Y6*Q6</f>
        <v>0.125699427480916</v>
      </c>
      <c r="AB6" s="68" t="s">
        <v>4</v>
      </c>
      <c r="AC6" s="58">
        <f>L6</f>
        <v>0</v>
      </c>
      <c r="AD6" s="58">
        <f>AC6</f>
        <v>0</v>
      </c>
      <c r="AF6" s="43" t="e">
        <f t="shared" si="3"/>
        <v>#DIV/0!</v>
      </c>
      <c r="AG6" s="40"/>
      <c r="AH6" s="35"/>
      <c r="AI6" s="36" t="e">
        <f t="shared" si="4"/>
        <v>#DIV/0!</v>
      </c>
    </row>
    <row r="7" spans="4:35" s="18" customFormat="1" ht="15.75" thickBot="1">
      <c r="D7" s="80"/>
      <c r="E7" s="81"/>
      <c r="F7" s="70"/>
      <c r="G7" s="70"/>
      <c r="H7" s="70"/>
      <c r="K7" s="8" t="s">
        <v>5</v>
      </c>
      <c r="L7" s="3">
        <f>L5*(1-L6)</f>
        <v>11900</v>
      </c>
      <c r="M7" s="4">
        <f>M5*(1-M6)</f>
        <v>15000</v>
      </c>
      <c r="O7" s="64" t="s">
        <v>11</v>
      </c>
      <c r="P7" s="46">
        <v>0.149</v>
      </c>
      <c r="Q7" s="24">
        <v>2.725190839694656</v>
      </c>
      <c r="R7" s="24">
        <f>Q7*P7</f>
        <v>0.40605343511450376</v>
      </c>
      <c r="S7" s="25">
        <f t="shared" si="0"/>
        <v>1490</v>
      </c>
      <c r="T7" s="64" t="s">
        <v>11</v>
      </c>
      <c r="U7" s="43"/>
      <c r="V7" s="40"/>
      <c r="W7" s="25">
        <f t="shared" si="1"/>
        <v>1490</v>
      </c>
      <c r="X7" s="26">
        <f>W7*Q7</f>
        <v>4060.5343511450374</v>
      </c>
      <c r="Y7" s="27">
        <f t="shared" si="2"/>
        <v>0.149</v>
      </c>
      <c r="Z7" s="24">
        <f>Y7*Q7</f>
        <v>0.40605343511450376</v>
      </c>
      <c r="AB7" s="68" t="s">
        <v>5</v>
      </c>
      <c r="AC7" s="59">
        <f>(AC5*(1-AC6))/$H$12</f>
        <v>5950</v>
      </c>
      <c r="AD7" s="59">
        <f>(AD5*(1-AD6))/$H$12</f>
        <v>5950</v>
      </c>
      <c r="AF7" s="43">
        <f t="shared" si="3"/>
        <v>0</v>
      </c>
      <c r="AG7" s="40"/>
      <c r="AH7" s="35"/>
      <c r="AI7" s="36">
        <f t="shared" si="4"/>
        <v>0</v>
      </c>
    </row>
    <row r="8" spans="4:35" s="18" customFormat="1" ht="15.75" thickBot="1">
      <c r="D8" s="80"/>
      <c r="E8" s="81"/>
      <c r="F8" s="21" t="s">
        <v>28</v>
      </c>
      <c r="H8" s="32">
        <v>17</v>
      </c>
      <c r="K8" s="10" t="s">
        <v>2</v>
      </c>
      <c r="L8" s="14">
        <v>17</v>
      </c>
      <c r="M8" s="12">
        <f>L8</f>
        <v>17</v>
      </c>
      <c r="O8" s="64" t="s">
        <v>12</v>
      </c>
      <c r="P8" s="46">
        <v>0.05</v>
      </c>
      <c r="Q8" s="24">
        <v>0.340648854961832</v>
      </c>
      <c r="R8" s="24">
        <f>Q8*P8</f>
        <v>0.0170324427480916</v>
      </c>
      <c r="S8" s="25">
        <f t="shared" si="0"/>
        <v>500</v>
      </c>
      <c r="T8" s="64" t="s">
        <v>12</v>
      </c>
      <c r="U8" s="43"/>
      <c r="V8" s="40"/>
      <c r="W8" s="25">
        <f t="shared" si="1"/>
        <v>500</v>
      </c>
      <c r="X8" s="26">
        <f>W8*Q8</f>
        <v>170.324427480916</v>
      </c>
      <c r="Y8" s="27">
        <f t="shared" si="2"/>
        <v>0.05</v>
      </c>
      <c r="Z8" s="24">
        <f>Y8*Q8</f>
        <v>0.0170324427480916</v>
      </c>
      <c r="AB8" s="68" t="s">
        <v>2</v>
      </c>
      <c r="AC8" s="60">
        <f>H8</f>
        <v>17</v>
      </c>
      <c r="AD8" s="60">
        <f>AC8</f>
        <v>17</v>
      </c>
      <c r="AF8" s="43">
        <f t="shared" si="3"/>
        <v>0</v>
      </c>
      <c r="AG8" s="40"/>
      <c r="AH8" s="35"/>
      <c r="AI8" s="36">
        <f t="shared" si="4"/>
        <v>0</v>
      </c>
    </row>
    <row r="9" spans="4:35" s="18" customFormat="1" ht="15.75">
      <c r="D9" s="80"/>
      <c r="E9" s="81"/>
      <c r="O9" s="64" t="s">
        <v>13</v>
      </c>
      <c r="P9" s="46">
        <v>0.139</v>
      </c>
      <c r="Q9" s="24">
        <v>2.9295801526717558</v>
      </c>
      <c r="R9" s="24">
        <f>Q9*P9</f>
        <v>0.4072116412213741</v>
      </c>
      <c r="S9" s="25">
        <f t="shared" si="0"/>
        <v>1390.0000000000002</v>
      </c>
      <c r="T9" s="64" t="s">
        <v>13</v>
      </c>
      <c r="U9" s="43"/>
      <c r="V9" s="40"/>
      <c r="W9" s="25">
        <f t="shared" si="1"/>
        <v>1390.0000000000002</v>
      </c>
      <c r="X9" s="26">
        <f>W9*Q9</f>
        <v>4072.116412213741</v>
      </c>
      <c r="Y9" s="27">
        <f t="shared" si="2"/>
        <v>0.139</v>
      </c>
      <c r="Z9" s="24">
        <f>Y9*Q9</f>
        <v>0.4072116412213741</v>
      </c>
      <c r="AB9" s="69" t="s">
        <v>3</v>
      </c>
      <c r="AC9" s="61">
        <f>AC8*AC7</f>
        <v>101150</v>
      </c>
      <c r="AD9" s="61">
        <f>AD8*AD7</f>
        <v>101150</v>
      </c>
      <c r="AF9" s="43">
        <f t="shared" si="3"/>
        <v>0</v>
      </c>
      <c r="AG9" s="40"/>
      <c r="AH9" s="35"/>
      <c r="AI9" s="36">
        <f t="shared" si="4"/>
        <v>0</v>
      </c>
    </row>
    <row r="10" spans="4:35" s="18" customFormat="1" ht="16.5" thickBot="1">
      <c r="D10" s="80"/>
      <c r="E10" s="81"/>
      <c r="F10" s="18" t="s">
        <v>45</v>
      </c>
      <c r="K10" s="8" t="s">
        <v>1</v>
      </c>
      <c r="L10" s="3">
        <f>L8*L9</f>
        <v>0</v>
      </c>
      <c r="O10" s="64" t="s">
        <v>14</v>
      </c>
      <c r="P10" s="47">
        <v>0.039</v>
      </c>
      <c r="Q10" s="24">
        <v>1.6351145038167938</v>
      </c>
      <c r="R10" s="24">
        <f>Q10*P10</f>
        <v>0.06376946564885495</v>
      </c>
      <c r="S10" s="25">
        <f t="shared" si="0"/>
        <v>390</v>
      </c>
      <c r="T10" s="64" t="s">
        <v>14</v>
      </c>
      <c r="U10" s="44"/>
      <c r="V10" s="41"/>
      <c r="W10" s="25">
        <f t="shared" si="1"/>
        <v>390</v>
      </c>
      <c r="X10" s="26">
        <f>W10*Q10</f>
        <v>637.6946564885495</v>
      </c>
      <c r="Y10" s="27">
        <f t="shared" si="2"/>
        <v>0.039</v>
      </c>
      <c r="Z10" s="24">
        <f>Y10*Q10</f>
        <v>0.06376946564885495</v>
      </c>
      <c r="AB10" s="51" t="s">
        <v>27</v>
      </c>
      <c r="AC10" s="52"/>
      <c r="AD10" s="53">
        <f>AC9-AD9</f>
        <v>0</v>
      </c>
      <c r="AF10" s="44" t="e">
        <f t="shared" si="3"/>
        <v>#DIV/0!</v>
      </c>
      <c r="AG10" s="41"/>
      <c r="AH10" s="37"/>
      <c r="AI10" s="38" t="e">
        <f t="shared" si="4"/>
        <v>#DIV/0!</v>
      </c>
    </row>
    <row r="11" spans="4:30" s="18" customFormat="1" ht="16.5" thickBot="1">
      <c r="D11" s="80"/>
      <c r="E11" s="81"/>
      <c r="K11" s="29" t="s">
        <v>4</v>
      </c>
      <c r="L11" s="28">
        <v>0</v>
      </c>
      <c r="O11" s="63" t="s">
        <v>15</v>
      </c>
      <c r="P11" s="65">
        <f>1-SUM(P4:P10)</f>
        <v>0.3809999999999999</v>
      </c>
      <c r="Q11" s="23">
        <v>0</v>
      </c>
      <c r="R11" s="24">
        <f>Q11*P11</f>
        <v>0</v>
      </c>
      <c r="S11" s="25">
        <f t="shared" si="0"/>
        <v>3809.999999999999</v>
      </c>
      <c r="T11" s="63" t="s">
        <v>15</v>
      </c>
      <c r="U11" s="65">
        <f>V11/S11</f>
        <v>0</v>
      </c>
      <c r="V11" s="65"/>
      <c r="W11" s="25">
        <f t="shared" si="1"/>
        <v>3809.999999999999</v>
      </c>
      <c r="X11" s="26">
        <f>W11*Q11</f>
        <v>0</v>
      </c>
      <c r="Y11" s="27">
        <f t="shared" si="2"/>
        <v>0.3809999999999999</v>
      </c>
      <c r="Z11" s="24">
        <f>Y11*Q11</f>
        <v>0</v>
      </c>
      <c r="AB11" s="54" t="s">
        <v>26</v>
      </c>
      <c r="AC11" s="55"/>
      <c r="AD11" s="56" t="str">
        <f>IF(V12=0,"N/A",AD10/V12)</f>
        <v>N/A</v>
      </c>
    </row>
    <row r="12" spans="4:26" s="18" customFormat="1" ht="15" customHeight="1" thickBot="1">
      <c r="D12" s="80" t="s">
        <v>40</v>
      </c>
      <c r="E12" s="81"/>
      <c r="F12" s="71" t="s">
        <v>46</v>
      </c>
      <c r="G12" s="71"/>
      <c r="H12" s="72">
        <v>2</v>
      </c>
      <c r="K12" s="8" t="s">
        <v>5</v>
      </c>
      <c r="L12" s="3">
        <f>L10*(1-L11)</f>
        <v>0</v>
      </c>
      <c r="O12" s="62" t="s">
        <v>16</v>
      </c>
      <c r="P12" s="66">
        <f>SUM(P4:P11)</f>
        <v>1</v>
      </c>
      <c r="Q12" s="23"/>
      <c r="R12" s="24">
        <f>SUM(R4:R11)</f>
        <v>1.189273282442748</v>
      </c>
      <c r="S12" s="25">
        <f>SUM(S4:S11)</f>
        <v>10000</v>
      </c>
      <c r="T12" s="62" t="s">
        <v>16</v>
      </c>
      <c r="U12" s="66">
        <f>V12/S12</f>
        <v>0</v>
      </c>
      <c r="V12" s="67">
        <f>SUM(V4:V11)</f>
        <v>0</v>
      </c>
      <c r="W12" s="23">
        <f>SUM(W4:W11)</f>
        <v>10000</v>
      </c>
      <c r="X12" s="23">
        <f>SUM(X4:X11)</f>
        <v>11892.73282442748</v>
      </c>
      <c r="Y12" s="27">
        <f>W12/$W$12</f>
        <v>1</v>
      </c>
      <c r="Z12" s="24">
        <f>SUM(Z4:Z11)</f>
        <v>1.189273282442748</v>
      </c>
    </row>
    <row r="13" spans="4:30" s="18" customFormat="1" ht="15">
      <c r="D13" s="80"/>
      <c r="E13" s="81"/>
      <c r="K13" s="10" t="s">
        <v>2</v>
      </c>
      <c r="L13" s="30">
        <v>17</v>
      </c>
      <c r="AB13" s="83">
        <f>IF(AD4&gt;AC4,"Note: Your UEF is greater than the default EF, therefore the default EF has been assumed to apply.","")</f>
      </c>
      <c r="AC13" s="83"/>
      <c r="AD13" s="83"/>
    </row>
    <row r="14" spans="4:30" s="18" customFormat="1" ht="16.5" customHeight="1" thickBot="1">
      <c r="D14" s="80"/>
      <c r="E14" s="81"/>
      <c r="O14" s="83">
        <f>IF(P11&lt;0,"WARNING! Your compositon data adds up to over 100%!","")</f>
      </c>
      <c r="P14" s="83"/>
      <c r="R14" s="18" t="s">
        <v>19</v>
      </c>
      <c r="T14" s="83" t="str">
        <f>IF(V12&gt;H2,"WARNING: Diverted tonnes are greater than total tonnes to landfill"," ")</f>
        <v> </v>
      </c>
      <c r="U14" s="83"/>
      <c r="V14" s="83"/>
      <c r="AB14" s="83"/>
      <c r="AC14" s="83"/>
      <c r="AD14" s="83"/>
    </row>
    <row r="15" spans="4:22" s="18" customFormat="1" ht="15">
      <c r="D15" s="80"/>
      <c r="E15" s="81"/>
      <c r="F15" s="15"/>
      <c r="G15" s="15"/>
      <c r="H15" s="15"/>
      <c r="O15" s="83"/>
      <c r="P15" s="83"/>
      <c r="Q15" s="18" t="s">
        <v>6</v>
      </c>
      <c r="R15" s="45">
        <v>0.092</v>
      </c>
      <c r="T15" s="83"/>
      <c r="U15" s="83"/>
      <c r="V15" s="83"/>
    </row>
    <row r="16" spans="4:18" s="18" customFormat="1" ht="15">
      <c r="D16" s="80"/>
      <c r="E16" s="81"/>
      <c r="F16" s="15"/>
      <c r="G16" s="15"/>
      <c r="H16" s="15"/>
      <c r="Q16" s="18" t="s">
        <v>9</v>
      </c>
      <c r="R16" s="46">
        <v>0.027</v>
      </c>
    </row>
    <row r="17" spans="1:18" ht="15">
      <c r="A17" s="78"/>
      <c r="B17" s="78"/>
      <c r="D17" s="48" t="s">
        <v>41</v>
      </c>
      <c r="E17" s="79" t="s">
        <v>38</v>
      </c>
      <c r="Q17" s="18" t="s">
        <v>10</v>
      </c>
      <c r="R17" s="46">
        <v>0.123</v>
      </c>
    </row>
    <row r="18" spans="1:18" ht="15">
      <c r="A18" s="78"/>
      <c r="B18" s="78"/>
      <c r="E18" s="79"/>
      <c r="Q18" s="18" t="s">
        <v>11</v>
      </c>
      <c r="R18" s="46">
        <v>0.149</v>
      </c>
    </row>
    <row r="19" spans="1:18" ht="15">
      <c r="A19" s="78"/>
      <c r="B19" s="78"/>
      <c r="Q19" s="18" t="s">
        <v>12</v>
      </c>
      <c r="R19" s="46">
        <v>0.05</v>
      </c>
    </row>
    <row r="20" spans="1:18" ht="15">
      <c r="A20" s="77" t="s">
        <v>37</v>
      </c>
      <c r="B20" s="77"/>
      <c r="Q20" s="18" t="s">
        <v>13</v>
      </c>
      <c r="R20" s="46">
        <v>0.139</v>
      </c>
    </row>
    <row r="21" spans="17:18" ht="15.75" thickBot="1">
      <c r="Q21" s="18" t="s">
        <v>14</v>
      </c>
      <c r="R21" s="47">
        <v>0.039</v>
      </c>
    </row>
    <row r="22" spans="17:18" ht="15">
      <c r="Q22" s="18" t="s">
        <v>15</v>
      </c>
      <c r="R22" s="22">
        <f>1-SUM(R15:R21)</f>
        <v>0.3809999999999999</v>
      </c>
    </row>
    <row r="23" spans="17:18" ht="15">
      <c r="Q23" s="18" t="s">
        <v>16</v>
      </c>
      <c r="R23" s="22">
        <f>SUM(R15:R22)</f>
        <v>1</v>
      </c>
    </row>
    <row r="25" ht="15">
      <c r="Q25" s="15">
        <f>Q33/1.31*1.19</f>
        <v>1.362595419847328</v>
      </c>
    </row>
    <row r="26" ht="15">
      <c r="Q26" s="15">
        <f>Q34/1.31*1.19</f>
        <v>1.6351145038167938</v>
      </c>
    </row>
    <row r="27" ht="15">
      <c r="Q27" s="15">
        <f>Q35/1.31*1.19</f>
        <v>1.021946564885496</v>
      </c>
    </row>
    <row r="28" ht="15">
      <c r="Q28" s="15">
        <f>Q36/1.31*1.19</f>
        <v>2.725190839694656</v>
      </c>
    </row>
    <row r="29" ht="15">
      <c r="Q29" s="15">
        <f>Q37/1.31*1.19</f>
        <v>0.340648854961832</v>
      </c>
    </row>
    <row r="30" ht="15">
      <c r="Q30" s="15">
        <f>Q38/1.31*1.19</f>
        <v>2.9295801526717558</v>
      </c>
    </row>
    <row r="31" ht="15">
      <c r="Q31" s="15">
        <f>Q39/1.31*1.19</f>
        <v>1.6351145038167938</v>
      </c>
    </row>
    <row r="32" ht="15">
      <c r="Q32" s="15">
        <f>Q11/1.31*1.19</f>
        <v>0</v>
      </c>
    </row>
    <row r="33" ht="15">
      <c r="Q33" s="23">
        <v>1.5</v>
      </c>
    </row>
    <row r="34" ht="15">
      <c r="Q34" s="23">
        <v>1.8</v>
      </c>
    </row>
    <row r="35" ht="15">
      <c r="Q35" s="23">
        <v>1.125</v>
      </c>
    </row>
    <row r="36" ht="15">
      <c r="Q36" s="23">
        <v>3</v>
      </c>
    </row>
    <row r="37" ht="15">
      <c r="Q37" s="23">
        <v>0.375</v>
      </c>
    </row>
    <row r="38" ht="15">
      <c r="Q38" s="23">
        <v>3.225</v>
      </c>
    </row>
    <row r="39" ht="15">
      <c r="Q39" s="23">
        <v>1.8</v>
      </c>
    </row>
  </sheetData>
  <sheetProtection password="EE54" sheet="1" formatCells="0" formatColumns="0" selectLockedCells="1"/>
  <mergeCells count="14">
    <mergeCell ref="F1:H1"/>
    <mergeCell ref="T14:V15"/>
    <mergeCell ref="AB13:AD14"/>
    <mergeCell ref="O14:P15"/>
    <mergeCell ref="O1:P1"/>
    <mergeCell ref="AB1:AD1"/>
    <mergeCell ref="T1:V1"/>
    <mergeCell ref="A20:B20"/>
    <mergeCell ref="A17:B19"/>
    <mergeCell ref="E17:E18"/>
    <mergeCell ref="D12:D16"/>
    <mergeCell ref="E2:E16"/>
    <mergeCell ref="D2:D5"/>
    <mergeCell ref="D6:D11"/>
  </mergeCells>
  <dataValidations count="6">
    <dataValidation type="decimal" allowBlank="1" showInputMessage="1" showErrorMessage="1" prompt="Please enter a UEF between 0 and 0.9" errorTitle="Invalid Entry" error="Please enter a UEF between 0 and 0.9" sqref="L6 AC6 L11">
      <formula1>0</formula1>
      <formula2>0.9</formula2>
    </dataValidation>
    <dataValidation type="decimal" allowBlank="1" showInputMessage="1" showErrorMessage="1" prompt="Please enter a number between 0 and 0.9" error="Please enter a number between 0 and 0.9" sqref="H6">
      <formula1>0</formula1>
      <formula2>0.9</formula2>
    </dataValidation>
    <dataValidation type="decimal" allowBlank="1" showInputMessage="1" showErrorMessage="1" error="Please enter a number between 0% and 100%" sqref="AH4:AH10 U4:U10">
      <formula1>0</formula1>
      <formula2>1</formula2>
    </dataValidation>
    <dataValidation type="decimal" operator="greaterThan" allowBlank="1" showInputMessage="1" showErrorMessage="1" error="Please enter a value greater than 0." sqref="H2">
      <formula1>0</formula1>
    </dataValidation>
    <dataValidation type="decimal" operator="greaterThanOrEqual" allowBlank="1" showInputMessage="1" showErrorMessage="1" error="Please enter a non-negative number" sqref="AG4:AG10">
      <formula1>0</formula1>
    </dataValidation>
    <dataValidation errorStyle="information" type="decimal" allowBlank="1" showInputMessage="1" showErrorMessage="1" error="You have entered a carbon price of over $100.  Are you sure you want to use this value?" sqref="H8 H12">
      <formula1>0</formula1>
      <formula2>100</formula2>
    </dataValidation>
  </dataValidations>
  <printOptions/>
  <pageMargins left="0.7" right="0.7" top="0.75" bottom="0.75" header="0.3" footer="0.3"/>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Duncan Wilson</dc:creator>
  <cp:keywords/>
  <dc:description/>
  <cp:lastModifiedBy>Duncan</cp:lastModifiedBy>
  <dcterms:created xsi:type="dcterms:W3CDTF">2011-07-01T01:02:06Z</dcterms:created>
  <dcterms:modified xsi:type="dcterms:W3CDTF">2017-09-22T03:46:59Z</dcterms:modified>
  <cp:category/>
  <cp:version/>
  <cp:contentType/>
  <cp:contentStatus/>
</cp:coreProperties>
</file>